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tabRatio="22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<sst xmlns="http://schemas.openxmlformats.org/spreadsheetml/2006/main" count="151" uniqueCount="105">
  <si>
    <t>Input Section</t>
  </si>
  <si>
    <t>FWHP =</t>
  </si>
  <si>
    <t>Ambient Temp =</t>
  </si>
  <si>
    <t>BSFC =</t>
  </si>
  <si>
    <t>Air Fuel Ratio =</t>
  </si>
  <si>
    <t>Desire Boost =</t>
  </si>
  <si>
    <t>Turbo Efficiency =</t>
  </si>
  <si>
    <t>horsepower</t>
  </si>
  <si>
    <t>Degrees F</t>
  </si>
  <si>
    <t>psia</t>
  </si>
  <si>
    <t>lb fuel/hour/hp</t>
  </si>
  <si>
    <t>psig</t>
  </si>
  <si>
    <t>Theoretical Temp Rise =</t>
  </si>
  <si>
    <t>Actual Temp Rise =</t>
  </si>
  <si>
    <t>Actual Temperature =</t>
  </si>
  <si>
    <t>Pressure Ratio =</t>
  </si>
  <si>
    <t>deg R</t>
  </si>
  <si>
    <t>deg F</t>
  </si>
  <si>
    <t>mph</t>
  </si>
  <si>
    <t>Desired Charge Air Temp =</t>
  </si>
  <si>
    <t>Time for 1st mile =</t>
  </si>
  <si>
    <t>Total Time for 5 Mile Run =</t>
  </si>
  <si>
    <t>seconds</t>
  </si>
  <si>
    <t>Time for 2nd mile =</t>
  </si>
  <si>
    <t>Time for 3rd mile =</t>
  </si>
  <si>
    <t>Time for 4th mile =</t>
  </si>
  <si>
    <t>Time for 5th mile =</t>
  </si>
  <si>
    <t>Speed at Mile 1 =</t>
  </si>
  <si>
    <t>Speed at Mile 2 =</t>
  </si>
  <si>
    <t>Speed at Mile 3 =</t>
  </si>
  <si>
    <t>Speed at Mile 4 =</t>
  </si>
  <si>
    <t>Speed at Mile 5 =</t>
  </si>
  <si>
    <t>:1</t>
  </si>
  <si>
    <t>%</t>
  </si>
  <si>
    <t>Charge Air Heat =</t>
  </si>
  <si>
    <t>pounds</t>
  </si>
  <si>
    <t>BTU</t>
  </si>
  <si>
    <t>Amount Of Fuel per hour =</t>
  </si>
  <si>
    <t>Amount Of Air Per Hour =</t>
  </si>
  <si>
    <t>Amount of Fuel per Run =</t>
  </si>
  <si>
    <t>Amount of Air per Run =</t>
  </si>
  <si>
    <t>Compressor Outlet Temp=</t>
  </si>
  <si>
    <t>Equivalent Gallons of Ice =</t>
  </si>
  <si>
    <t>Method 4- Ice Water to Air</t>
  </si>
  <si>
    <t>Method 1 - Water Injection</t>
  </si>
  <si>
    <t>Method 2 - Methanol Injection</t>
  </si>
  <si>
    <t>Method 3 - Air to Air Intercooler</t>
  </si>
  <si>
    <t>Constants</t>
  </si>
  <si>
    <t>Cp of water =</t>
  </si>
  <si>
    <t>Latent Heat of Fusion of Water =</t>
  </si>
  <si>
    <t>Latent Heat of Vaporization of Water =</t>
  </si>
  <si>
    <t>Latent Heat of Vaporization of Methanol =</t>
  </si>
  <si>
    <t>BTU/lbm</t>
  </si>
  <si>
    <t>Charge Air Cooling Options for Land Speed Racing</t>
  </si>
  <si>
    <t>Amount of Ice Required =</t>
  </si>
  <si>
    <t>gal (must be solid chunk if measured this way)</t>
  </si>
  <si>
    <t>Amount of Water required =</t>
  </si>
  <si>
    <t>Equivalent gallons =</t>
  </si>
  <si>
    <t>gal</t>
  </si>
  <si>
    <t>Injector size =</t>
  </si>
  <si>
    <t>gpm (must be at pressure &gt; boost)</t>
  </si>
  <si>
    <t>lbm per minute (must be at pressure &gt; boost)</t>
  </si>
  <si>
    <t>Minimum Tank Size =</t>
  </si>
  <si>
    <t>Amount of Methanol required =</t>
  </si>
  <si>
    <t>Specific Gravity of Methanol =</t>
  </si>
  <si>
    <t>Engine Bore =</t>
  </si>
  <si>
    <t>Engine Stroke =</t>
  </si>
  <si>
    <t>inches</t>
  </si>
  <si>
    <t>rev/min</t>
  </si>
  <si>
    <t>Calculated Outputs</t>
  </si>
  <si>
    <t xml:space="preserve"> </t>
  </si>
  <si>
    <t>Engine Displacement =</t>
  </si>
  <si>
    <t>cubic inches</t>
  </si>
  <si>
    <t xml:space="preserve">Engine Air Flow = </t>
  </si>
  <si>
    <t>CFM</t>
  </si>
  <si>
    <t>Top Speed Desired =</t>
  </si>
  <si>
    <t>Charge Air Face Area =</t>
  </si>
  <si>
    <t>Core Volume =</t>
  </si>
  <si>
    <t>BTU/lbm-Deg F</t>
  </si>
  <si>
    <t>Max Engine RPM  =</t>
  </si>
  <si>
    <t>Number of Cylinders =</t>
  </si>
  <si>
    <t>% (base line is 45% effective)</t>
  </si>
  <si>
    <t>Charge Air Flow Rate  =</t>
  </si>
  <si>
    <t>Core effective Area =</t>
  </si>
  <si>
    <t>ft/sec (115 is baseline)</t>
  </si>
  <si>
    <t>(1.51 is baseline)</t>
  </si>
  <si>
    <t>(3.02 is baseline)</t>
  </si>
  <si>
    <t>percent (&lt;= 95%)</t>
  </si>
  <si>
    <t>Assumed Volumetric Efficiency =</t>
  </si>
  <si>
    <t>Barometric Pressure =</t>
  </si>
  <si>
    <t>Air/Air Hp/cubic inch of core vol =</t>
  </si>
  <si>
    <t>H2O/Air Hp/cubic inch of core vol =</t>
  </si>
  <si>
    <t>Charge Air Face Thickness =</t>
  </si>
  <si>
    <t>Charge Air Face Height =</t>
  </si>
  <si>
    <t>Core Length =</t>
  </si>
  <si>
    <t>Cooling Air Face =</t>
  </si>
  <si>
    <t>square inches</t>
  </si>
  <si>
    <t>Core Thickness, Air/Air =</t>
  </si>
  <si>
    <t xml:space="preserve">Core Thickness, Water/Air = </t>
  </si>
  <si>
    <t>inches (3.5 or 4.5 are options)</t>
  </si>
  <si>
    <t>inches (3,4.5, 6, 9, 12 options)</t>
  </si>
  <si>
    <t>lbm</t>
  </si>
  <si>
    <t>Cooling Water Face =</t>
  </si>
  <si>
    <t>One Gallon of Water Weighs =</t>
  </si>
  <si>
    <t>copy right 2003, allrights reserved.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</si>
</sst>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i/>
      <sz val="18"/>
      <name val="Monotype Corsiva"/>
      <family val="4"/>
    </font>
    <font>
      <b/>
      <sz val="10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/>
    </xf>
    <xf numFmtId="2" fontId="2" fillId="0" borderId="0" xfId="0" applyNumberFormat="1" applyFont="1" applyAlignment="1">
      <alignment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2" fontId="2" fillId="4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6"/>
  <sheetViews>
    <sheetView tabSelected="1" workbookViewId="0" topLeftCell="A1">
      <selection activeCell="C4" sqref="C4"/>
    </sheetView>
  </sheetViews>
  <sheetFormatPr defaultColWidth="9.140625" defaultRowHeight="12.75"/>
  <cols>
    <col min="1" max="1" width="37.140625" style="0" customWidth="1"/>
    <col min="2" max="2" width="5.7109375" style="0" customWidth="1"/>
    <col min="3" max="3" width="26.140625" style="0" customWidth="1"/>
    <col min="4" max="4" width="8.7109375" style="3" customWidth="1"/>
    <col min="5" max="5" width="35.00390625" style="0" customWidth="1"/>
    <col min="6" max="6" width="7.00390625" style="0" customWidth="1"/>
    <col min="7" max="7" width="13.28125" style="0" customWidth="1"/>
  </cols>
  <sheetData>
    <row r="1" ht="23.25">
      <c r="A1" s="1" t="s">
        <v>53</v>
      </c>
    </row>
    <row r="2" ht="12.75">
      <c r="A2" t="s">
        <v>104</v>
      </c>
    </row>
    <row r="3" spans="1:5" ht="12.75">
      <c r="A3" s="4" t="s">
        <v>0</v>
      </c>
      <c r="E3" s="4" t="s">
        <v>47</v>
      </c>
    </row>
    <row r="4" spans="1:7" ht="12.75">
      <c r="A4" s="2" t="s">
        <v>1</v>
      </c>
      <c r="B4" s="5">
        <v>500</v>
      </c>
      <c r="C4" t="s">
        <v>7</v>
      </c>
      <c r="E4" s="2" t="s">
        <v>48</v>
      </c>
      <c r="F4" s="7">
        <v>0.24</v>
      </c>
      <c r="G4" t="s">
        <v>78</v>
      </c>
    </row>
    <row r="5" spans="1:7" ht="12.75">
      <c r="A5" s="2" t="s">
        <v>2</v>
      </c>
      <c r="B5" s="5">
        <v>95</v>
      </c>
      <c r="C5" t="s">
        <v>8</v>
      </c>
      <c r="E5" s="2" t="s">
        <v>49</v>
      </c>
      <c r="F5" s="7">
        <v>143.2</v>
      </c>
      <c r="G5" t="s">
        <v>52</v>
      </c>
    </row>
    <row r="6" spans="1:7" ht="12.75">
      <c r="A6" s="2" t="s">
        <v>89</v>
      </c>
      <c r="B6" s="5">
        <v>12.6</v>
      </c>
      <c r="C6" t="s">
        <v>9</v>
      </c>
      <c r="E6" s="2" t="s">
        <v>50</v>
      </c>
      <c r="F6" s="7">
        <v>970</v>
      </c>
      <c r="G6" t="s">
        <v>52</v>
      </c>
    </row>
    <row r="7" spans="1:7" ht="12.75">
      <c r="A7" s="2" t="s">
        <v>3</v>
      </c>
      <c r="B7" s="5">
        <v>0.55</v>
      </c>
      <c r="C7" t="s">
        <v>10</v>
      </c>
      <c r="E7" s="2" t="s">
        <v>51</v>
      </c>
      <c r="F7" s="7">
        <v>503</v>
      </c>
      <c r="G7" t="s">
        <v>52</v>
      </c>
    </row>
    <row r="8" spans="1:6" ht="12.75">
      <c r="A8" s="2" t="s">
        <v>4</v>
      </c>
      <c r="B8" s="5">
        <v>12.5</v>
      </c>
      <c r="C8" t="s">
        <v>32</v>
      </c>
      <c r="E8" s="2" t="s">
        <v>64</v>
      </c>
      <c r="F8" s="8">
        <v>0.78</v>
      </c>
    </row>
    <row r="9" spans="1:7" ht="12.75">
      <c r="A9" s="2" t="s">
        <v>5</v>
      </c>
      <c r="B9" s="5">
        <v>10</v>
      </c>
      <c r="C9" t="s">
        <v>11</v>
      </c>
      <c r="E9" s="2" t="s">
        <v>103</v>
      </c>
      <c r="F9" s="8">
        <v>8.34</v>
      </c>
      <c r="G9" t="s">
        <v>101</v>
      </c>
    </row>
    <row r="10" spans="1:3" ht="12.75">
      <c r="A10" s="2" t="s">
        <v>6</v>
      </c>
      <c r="B10" s="5">
        <v>65</v>
      </c>
      <c r="C10" t="s">
        <v>33</v>
      </c>
    </row>
    <row r="11" spans="1:3" ht="12.75">
      <c r="A11" s="2" t="s">
        <v>75</v>
      </c>
      <c r="B11" s="5">
        <v>204</v>
      </c>
      <c r="C11" t="s">
        <v>18</v>
      </c>
    </row>
    <row r="12" spans="1:3" ht="12.75">
      <c r="A12" s="2" t="s">
        <v>19</v>
      </c>
      <c r="B12" s="5">
        <v>70</v>
      </c>
      <c r="C12" t="s">
        <v>17</v>
      </c>
    </row>
    <row r="13" spans="1:3" ht="12.75">
      <c r="A13" s="2" t="s">
        <v>65</v>
      </c>
      <c r="B13" s="5">
        <v>4.028</v>
      </c>
      <c r="C13" t="s">
        <v>67</v>
      </c>
    </row>
    <row r="14" spans="1:3" ht="12.75">
      <c r="A14" s="2" t="s">
        <v>66</v>
      </c>
      <c r="B14" s="5">
        <v>3</v>
      </c>
      <c r="C14" t="s">
        <v>67</v>
      </c>
    </row>
    <row r="15" spans="1:2" ht="12.75">
      <c r="A15" s="2" t="s">
        <v>80</v>
      </c>
      <c r="B15" s="5">
        <v>8</v>
      </c>
    </row>
    <row r="16" spans="1:3" ht="12.75">
      <c r="A16" s="2" t="s">
        <v>79</v>
      </c>
      <c r="B16" s="5">
        <v>6500</v>
      </c>
      <c r="C16" t="s">
        <v>68</v>
      </c>
    </row>
    <row r="17" spans="1:3" ht="12.75">
      <c r="A17" s="2" t="s">
        <v>88</v>
      </c>
      <c r="B17" s="5">
        <v>93</v>
      </c>
      <c r="C17" t="s">
        <v>87</v>
      </c>
    </row>
    <row r="18" spans="1:3" ht="12.75">
      <c r="A18" s="2" t="s">
        <v>83</v>
      </c>
      <c r="B18" s="5">
        <v>0.45</v>
      </c>
      <c r="C18" t="s">
        <v>81</v>
      </c>
    </row>
    <row r="19" spans="1:3" ht="12.75">
      <c r="A19" s="2" t="s">
        <v>82</v>
      </c>
      <c r="B19" s="5">
        <v>115</v>
      </c>
      <c r="C19" t="s">
        <v>84</v>
      </c>
    </row>
    <row r="20" spans="1:3" ht="12.75">
      <c r="A20" s="2" t="s">
        <v>90</v>
      </c>
      <c r="B20" s="5">
        <v>1.51</v>
      </c>
      <c r="C20" t="s">
        <v>85</v>
      </c>
    </row>
    <row r="21" spans="1:3" ht="12.75">
      <c r="A21" s="2" t="s">
        <v>91</v>
      </c>
      <c r="B21" s="5">
        <v>3.02</v>
      </c>
      <c r="C21" t="s">
        <v>86</v>
      </c>
    </row>
    <row r="22" spans="1:3" ht="12.75">
      <c r="A22" s="2" t="s">
        <v>97</v>
      </c>
      <c r="B22" s="5">
        <v>3.5</v>
      </c>
      <c r="C22" t="s">
        <v>99</v>
      </c>
    </row>
    <row r="23" spans="1:3" ht="12.75">
      <c r="A23" s="2" t="s">
        <v>98</v>
      </c>
      <c r="B23" s="5">
        <v>3</v>
      </c>
      <c r="C23" t="s">
        <v>100</v>
      </c>
    </row>
    <row r="24" spans="1:2" ht="12.75">
      <c r="A24" s="2"/>
      <c r="B24" s="9"/>
    </row>
    <row r="25" spans="1:3" ht="12.75">
      <c r="A25" s="2"/>
      <c r="B25" s="9"/>
      <c r="C25" s="4" t="s">
        <v>69</v>
      </c>
    </row>
    <row r="26" spans="1:5" ht="12.75">
      <c r="A26" s="2"/>
      <c r="B26" s="9" t="s">
        <v>70</v>
      </c>
      <c r="C26" s="2" t="s">
        <v>71</v>
      </c>
      <c r="D26" s="11">
        <f>$B$13^2*PI()/4*$B$14*$B$15</f>
        <v>305.8299733228872</v>
      </c>
      <c r="E26" t="s">
        <v>72</v>
      </c>
    </row>
    <row r="27" spans="3:5" ht="12.75">
      <c r="C27" s="2" t="s">
        <v>73</v>
      </c>
      <c r="D27" s="11">
        <f>$D$26*$B$16/2/1728*$B$17/100</f>
        <v>534.9369759076543</v>
      </c>
      <c r="E27" t="s">
        <v>74</v>
      </c>
    </row>
    <row r="28" spans="3:5" ht="12.75">
      <c r="C28" s="2" t="s">
        <v>41</v>
      </c>
      <c r="D28" s="11">
        <f>(460+$B$5)*($D$32)^0.286</f>
        <v>655.9368362802904</v>
      </c>
      <c r="E28" t="s">
        <v>16</v>
      </c>
    </row>
    <row r="29" spans="3:5" ht="12.75">
      <c r="C29" s="2" t="s">
        <v>12</v>
      </c>
      <c r="D29" s="11">
        <f>$D$28-460-$B$5</f>
        <v>100.93683628029044</v>
      </c>
      <c r="E29" t="s">
        <v>17</v>
      </c>
    </row>
    <row r="30" spans="3:5" ht="12.75">
      <c r="C30" s="2" t="s">
        <v>13</v>
      </c>
      <c r="D30" s="11">
        <f>$D$29/($B$10/100)</f>
        <v>155.28744043121606</v>
      </c>
      <c r="E30" t="s">
        <v>17</v>
      </c>
    </row>
    <row r="31" spans="3:5" ht="12.75">
      <c r="C31" s="2" t="s">
        <v>14</v>
      </c>
      <c r="D31" s="11">
        <f>$B$5+$D$30</f>
        <v>250.28744043121606</v>
      </c>
      <c r="E31" t="s">
        <v>17</v>
      </c>
    </row>
    <row r="32" spans="3:4" ht="12.75">
      <c r="C32" s="2" t="s">
        <v>15</v>
      </c>
      <c r="D32" s="11">
        <f>($B$6+$B$9)/$B$6</f>
        <v>1.7936507936507937</v>
      </c>
    </row>
    <row r="33" spans="3:5" ht="12.75">
      <c r="C33" s="2" t="s">
        <v>27</v>
      </c>
      <c r="D33" s="11">
        <f>0.8*$B$11</f>
        <v>163.20000000000002</v>
      </c>
      <c r="E33" t="s">
        <v>18</v>
      </c>
    </row>
    <row r="34" spans="3:5" ht="12.75">
      <c r="C34" s="2" t="s">
        <v>20</v>
      </c>
      <c r="D34" s="11">
        <f>5280/((88/60)*((0.8*$B$11)/2))</f>
        <v>44.11764705882353</v>
      </c>
      <c r="E34" t="s">
        <v>22</v>
      </c>
    </row>
    <row r="35" spans="3:5" ht="12.75">
      <c r="C35" s="2" t="s">
        <v>28</v>
      </c>
      <c r="D35" s="11">
        <f>$D$33+0.8*($B$11-$D$33)</f>
        <v>195.84</v>
      </c>
      <c r="E35" t="s">
        <v>18</v>
      </c>
    </row>
    <row r="36" spans="3:5" ht="12.75">
      <c r="C36" s="2" t="s">
        <v>23</v>
      </c>
      <c r="D36" s="11">
        <f>5280/((88/60)*(($D$35-$D$33)/2+$D$33))</f>
        <v>20.053475935828878</v>
      </c>
      <c r="E36" t="s">
        <v>22</v>
      </c>
    </row>
    <row r="37" spans="3:5" ht="12.75">
      <c r="C37" s="2" t="s">
        <v>29</v>
      </c>
      <c r="D37" s="11">
        <f>$D$35+0.8*($B$11-$D$35)</f>
        <v>202.368</v>
      </c>
      <c r="E37" t="s">
        <v>18</v>
      </c>
    </row>
    <row r="38" spans="3:5" ht="12.75">
      <c r="C38" s="2" t="s">
        <v>24</v>
      </c>
      <c r="D38" s="11">
        <f>5280/((88/60)*(($D$37-$D$35)/2+$D$35))</f>
        <v>18.081002892960466</v>
      </c>
      <c r="E38" t="s">
        <v>22</v>
      </c>
    </row>
    <row r="39" spans="3:5" ht="12.75">
      <c r="C39" s="2" t="s">
        <v>30</v>
      </c>
      <c r="D39" s="11">
        <f>$B$11</f>
        <v>204</v>
      </c>
      <c r="E39" t="s">
        <v>18</v>
      </c>
    </row>
    <row r="40" spans="3:5" ht="12.75">
      <c r="C40" s="2" t="s">
        <v>25</v>
      </c>
      <c r="D40" s="11">
        <f>5280/((88/60)*(($D$39-$D$37)/2+$D$37))</f>
        <v>17.71793054571226</v>
      </c>
      <c r="E40" t="s">
        <v>22</v>
      </c>
    </row>
    <row r="41" spans="3:5" ht="12.75">
      <c r="C41" s="2" t="s">
        <v>31</v>
      </c>
      <c r="D41" s="11">
        <f>$B$11</f>
        <v>204</v>
      </c>
      <c r="E41" t="s">
        <v>18</v>
      </c>
    </row>
    <row r="42" spans="3:5" ht="12.75">
      <c r="C42" s="2" t="s">
        <v>26</v>
      </c>
      <c r="D42" s="11">
        <f>5280/((88/60)*(($D$41-$D39)/2+$D$39))</f>
        <v>17.647058823529413</v>
      </c>
      <c r="E42" t="s">
        <v>22</v>
      </c>
    </row>
    <row r="43" spans="3:5" ht="12.75">
      <c r="C43" s="2" t="s">
        <v>21</v>
      </c>
      <c r="D43" s="11">
        <f>$D$34+$D$36+$D$38+$D$40+$D$42</f>
        <v>117.61711525685456</v>
      </c>
      <c r="E43" t="s">
        <v>22</v>
      </c>
    </row>
    <row r="44" spans="3:5" ht="12.75">
      <c r="C44" s="2" t="s">
        <v>37</v>
      </c>
      <c r="D44" s="11">
        <f>$B$4*$B$7</f>
        <v>275</v>
      </c>
      <c r="E44" t="s">
        <v>35</v>
      </c>
    </row>
    <row r="45" spans="3:5" ht="12.75">
      <c r="C45" s="2" t="s">
        <v>38</v>
      </c>
      <c r="D45" s="11">
        <f>$B$8*$D$44</f>
        <v>3437.5</v>
      </c>
      <c r="E45" t="s">
        <v>35</v>
      </c>
    </row>
    <row r="46" spans="3:5" ht="12.75">
      <c r="C46" s="2" t="s">
        <v>39</v>
      </c>
      <c r="D46" s="11">
        <f>($D$44/60)*$D$43/60</f>
        <v>8.984640748787502</v>
      </c>
      <c r="E46" t="s">
        <v>35</v>
      </c>
    </row>
    <row r="47" spans="3:5" ht="12.75">
      <c r="C47" s="2" t="s">
        <v>40</v>
      </c>
      <c r="D47" s="11">
        <f>($D$45/60)*$D$43/60</f>
        <v>112.30800935984375</v>
      </c>
      <c r="E47" t="s">
        <v>35</v>
      </c>
    </row>
    <row r="48" spans="3:5" ht="12.75">
      <c r="C48" s="2" t="s">
        <v>34</v>
      </c>
      <c r="D48" s="11">
        <f>0.24*($D$31-$B$12)*$D$47</f>
        <v>4859.453651378708</v>
      </c>
      <c r="E48" t="s">
        <v>36</v>
      </c>
    </row>
    <row r="49" ht="12.75">
      <c r="D49" s="6"/>
    </row>
    <row r="50" spans="1:5" ht="12.75">
      <c r="A50" s="10" t="s">
        <v>44</v>
      </c>
      <c r="C50" s="2" t="s">
        <v>56</v>
      </c>
      <c r="D50" s="11">
        <f>$D$48/$F$6</f>
        <v>5.009746032349184</v>
      </c>
      <c r="E50" t="s">
        <v>35</v>
      </c>
    </row>
    <row r="51" spans="3:5" ht="12.75">
      <c r="C51" s="2" t="s">
        <v>57</v>
      </c>
      <c r="D51" s="11">
        <f>$D$50/$F$9</f>
        <v>0.600688972703739</v>
      </c>
      <c r="E51" t="s">
        <v>58</v>
      </c>
    </row>
    <row r="52" spans="3:5" ht="12.75">
      <c r="C52" s="2" t="s">
        <v>59</v>
      </c>
      <c r="D52" s="11">
        <f>$D$50*60/$D$43</f>
        <v>2.5556209339476497</v>
      </c>
      <c r="E52" t="s">
        <v>61</v>
      </c>
    </row>
    <row r="53" spans="3:5" ht="12.75">
      <c r="C53" s="2" t="s">
        <v>59</v>
      </c>
      <c r="D53" s="11">
        <f>$D$51*60/$D$43</f>
        <v>0.30642936857885483</v>
      </c>
      <c r="E53" t="s">
        <v>60</v>
      </c>
    </row>
    <row r="54" spans="3:4" ht="12.75">
      <c r="C54" s="2"/>
      <c r="D54" s="6"/>
    </row>
    <row r="55" spans="1:5" ht="12.75">
      <c r="A55" s="10" t="s">
        <v>45</v>
      </c>
      <c r="C55" s="2" t="s">
        <v>63</v>
      </c>
      <c r="D55" s="11">
        <f>$D$48/$F$7</f>
        <v>9.660941652840373</v>
      </c>
      <c r="E55" t="s">
        <v>35</v>
      </c>
    </row>
    <row r="56" spans="3:5" ht="12.75">
      <c r="C56" s="2" t="s">
        <v>57</v>
      </c>
      <c r="D56" s="11">
        <f>$D$55/(0.78*$F$9)</f>
        <v>1.48511062731974</v>
      </c>
      <c r="E56" t="s">
        <v>58</v>
      </c>
    </row>
    <row r="57" spans="3:5" ht="12.75">
      <c r="C57" s="2" t="s">
        <v>59</v>
      </c>
      <c r="D57" s="11">
        <f>$D$55*60/$D$43</f>
        <v>4.928334604233042</v>
      </c>
      <c r="E57" t="s">
        <v>61</v>
      </c>
    </row>
    <row r="58" spans="3:5" ht="12.75">
      <c r="C58" s="2" t="s">
        <v>59</v>
      </c>
      <c r="D58" s="11">
        <f>$D$56*60/$D$43</f>
        <v>0.7575992443326941</v>
      </c>
      <c r="E58" t="s">
        <v>60</v>
      </c>
    </row>
    <row r="60" spans="1:5" ht="12.75">
      <c r="A60" s="10" t="s">
        <v>46</v>
      </c>
      <c r="C60" s="2" t="s">
        <v>92</v>
      </c>
      <c r="D60" s="11">
        <f>$B$22</f>
        <v>3.5</v>
      </c>
      <c r="E60" t="s">
        <v>67</v>
      </c>
    </row>
    <row r="61" spans="3:5" ht="12.75">
      <c r="C61" s="2" t="s">
        <v>76</v>
      </c>
      <c r="D61" s="11">
        <f>($D$27*144)/($B$19*60*$B$18)</f>
        <v>24.80867134644194</v>
      </c>
      <c r="E61" t="s">
        <v>96</v>
      </c>
    </row>
    <row r="62" spans="3:5" ht="12.75">
      <c r="C62" s="2" t="s">
        <v>93</v>
      </c>
      <c r="D62" s="11">
        <f>$D$61/$B$22</f>
        <v>7.088191813269126</v>
      </c>
      <c r="E62" t="s">
        <v>67</v>
      </c>
    </row>
    <row r="63" spans="3:5" ht="12.75">
      <c r="C63" s="2" t="s">
        <v>77</v>
      </c>
      <c r="D63" s="11">
        <f>$B$4/$B$20</f>
        <v>331.12582781456956</v>
      </c>
      <c r="E63" t="s">
        <v>72</v>
      </c>
    </row>
    <row r="64" spans="3:5" ht="12.75">
      <c r="C64" s="2" t="s">
        <v>94</v>
      </c>
      <c r="D64" s="11">
        <f>$D$63/$D$61</f>
        <v>13.347181039667392</v>
      </c>
      <c r="E64" t="s">
        <v>67</v>
      </c>
    </row>
    <row r="65" spans="3:5" ht="12.75">
      <c r="C65" s="2" t="s">
        <v>95</v>
      </c>
      <c r="D65" s="11">
        <f>$D$62*$D$64</f>
        <v>94.60737937559131</v>
      </c>
      <c r="E65" t="s">
        <v>96</v>
      </c>
    </row>
    <row r="67" ht="12.75">
      <c r="D67" s="6"/>
    </row>
    <row r="68" spans="1:5" ht="12.75">
      <c r="A68" s="10" t="s">
        <v>43</v>
      </c>
      <c r="C68" s="2" t="s">
        <v>54</v>
      </c>
      <c r="D68" s="11">
        <f>$D$48/143.2</f>
        <v>33.93473220236528</v>
      </c>
      <c r="E68" t="s">
        <v>35</v>
      </c>
    </row>
    <row r="69" spans="3:5" ht="12.75">
      <c r="C69" s="2" t="s">
        <v>42</v>
      </c>
      <c r="D69" s="11">
        <f>$D$68/$F$9</f>
        <v>4.068912734096557</v>
      </c>
      <c r="E69" t="s">
        <v>55</v>
      </c>
    </row>
    <row r="70" spans="3:5" ht="12.75">
      <c r="C70" s="2" t="s">
        <v>62</v>
      </c>
      <c r="D70" s="11">
        <f>($D$69+4)</f>
        <v>8.068912734096557</v>
      </c>
      <c r="E70" t="s">
        <v>58</v>
      </c>
    </row>
    <row r="71" spans="3:5" ht="12.75">
      <c r="C71" s="2" t="s">
        <v>92</v>
      </c>
      <c r="D71" s="11">
        <f>$B$23</f>
        <v>3</v>
      </c>
      <c r="E71" t="s">
        <v>67</v>
      </c>
    </row>
    <row r="72" spans="3:5" ht="12.75">
      <c r="C72" s="2" t="s">
        <v>76</v>
      </c>
      <c r="D72" s="11">
        <f>($D$27*144)/($B$19*60*$B$18)</f>
        <v>24.80867134644194</v>
      </c>
      <c r="E72" t="s">
        <v>96</v>
      </c>
    </row>
    <row r="73" spans="3:5" ht="12.75">
      <c r="C73" s="2" t="s">
        <v>93</v>
      </c>
      <c r="D73" s="11">
        <f>$D$72/$B$23</f>
        <v>8.269557115480646</v>
      </c>
      <c r="E73" t="s">
        <v>67</v>
      </c>
    </row>
    <row r="74" spans="3:5" ht="12.75">
      <c r="C74" s="2" t="s">
        <v>77</v>
      </c>
      <c r="D74" s="11">
        <f>$B$4/$B$21</f>
        <v>165.56291390728478</v>
      </c>
      <c r="E74" t="s">
        <v>72</v>
      </c>
    </row>
    <row r="75" spans="3:5" ht="12.75">
      <c r="C75" s="2" t="s">
        <v>94</v>
      </c>
      <c r="D75" s="11">
        <f>$D$74/$D$72</f>
        <v>6.673590519833696</v>
      </c>
      <c r="E75" t="s">
        <v>67</v>
      </c>
    </row>
    <row r="76" spans="3:5" ht="12.75">
      <c r="C76" s="2" t="s">
        <v>102</v>
      </c>
      <c r="D76" s="11">
        <f>$D$73*$D$75</f>
        <v>55.18763796909492</v>
      </c>
      <c r="E76" t="s">
        <v>96</v>
      </c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Mayfield Motorsports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E. Mayfield</dc:creator>
  <cp:keywords/>
  <dc:description/>
  <cp:lastModifiedBy>Lawrence E. Mayfield</cp:lastModifiedBy>
  <cp:lastPrinted>2003-05-01T02:48:48Z</cp:lastPrinted>
  <dcterms:created xsi:type="dcterms:W3CDTF">2003-04-03T17:14:19Z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